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<sst xmlns="http://schemas.openxmlformats.org/spreadsheetml/2006/main" count="1722" uniqueCount="323">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</sst>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319</v>
      </c>
      <c r="N3" s="262" t="s">
        <v>320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315</v>
      </c>
      <c r="F4" s="245" t="s">
        <v>116</v>
      </c>
      <c r="G4" s="247" t="s">
        <v>316</v>
      </c>
      <c r="H4" s="249" t="s">
        <v>317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322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545885.2300000001</v>
      </c>
      <c r="G8" s="18">
        <f aca="true" t="shared" si="0" ref="G8:G54">F8-E8</f>
        <v>5241.660000000033</v>
      </c>
      <c r="H8" s="45">
        <f>F8/E8*100</f>
        <v>100.96952230468588</v>
      </c>
      <c r="I8" s="31">
        <f aca="true" t="shared" si="1" ref="I8:I54">F8-D8</f>
        <v>-26403.769999999902</v>
      </c>
      <c r="J8" s="31">
        <f aca="true" t="shared" si="2" ref="J8:J14">F8/D8*100</f>
        <v>95.38628734782603</v>
      </c>
      <c r="K8" s="18">
        <f>K9+K15+K18+K19+K20+K32</f>
        <v>99861.27600000006</v>
      </c>
      <c r="L8" s="18"/>
      <c r="M8" s="18">
        <f>M9+M15+M18+M19+M20+M32+M17</f>
        <v>37118.100000000006</v>
      </c>
      <c r="N8" s="18">
        <f>N9+N15+N18+N19+N20+N32+N17</f>
        <v>3299.0000000000396</v>
      </c>
      <c r="O8" s="31">
        <f aca="true" t="shared" si="3" ref="O8:O54">N8-M8</f>
        <v>-33819.09999999997</v>
      </c>
      <c r="P8" s="31">
        <f>F8/M8*100</f>
        <v>1470.671262807094</v>
      </c>
      <c r="Q8" s="31">
        <f>N8-33748.16</f>
        <v>-30449.159999999963</v>
      </c>
      <c r="R8" s="125">
        <f>N8/33748.16</f>
        <v>0.09775347752292389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297591.84</v>
      </c>
      <c r="G9" s="43">
        <f t="shared" si="0"/>
        <v>7624.72000000003</v>
      </c>
      <c r="H9" s="35">
        <f aca="true" t="shared" si="4" ref="H9:H38">F9/E9*100</f>
        <v>102.6295119253521</v>
      </c>
      <c r="I9" s="50">
        <f t="shared" si="1"/>
        <v>-15098.159999999974</v>
      </c>
      <c r="J9" s="50">
        <f t="shared" si="2"/>
        <v>95.17152451309605</v>
      </c>
      <c r="K9" s="132">
        <f>F9-349197.38/75*60</f>
        <v>18233.936000000045</v>
      </c>
      <c r="L9" s="132">
        <f>F9/(349197.38/75*60)*100</f>
        <v>106.52708791801359</v>
      </c>
      <c r="M9" s="35">
        <f>E9-жовтень!E9</f>
        <v>20102</v>
      </c>
      <c r="N9" s="35">
        <f>F9-жовтень!F9</f>
        <v>1316.5100000000093</v>
      </c>
      <c r="O9" s="47">
        <f t="shared" si="3"/>
        <v>-18785.48999999999</v>
      </c>
      <c r="P9" s="50">
        <f aca="true" t="shared" si="5" ref="P9:P32">N9/M9*100</f>
        <v>6.549149338374336</v>
      </c>
      <c r="Q9" s="132">
        <f>N9-26568.11</f>
        <v>-25251.59999999999</v>
      </c>
      <c r="R9" s="133">
        <f>N9/26568.11</f>
        <v>0.04955226397361383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263646.91</v>
      </c>
      <c r="G10" s="135">
        <f t="shared" si="0"/>
        <v>11286.089999999967</v>
      </c>
      <c r="H10" s="137">
        <f t="shared" si="4"/>
        <v>104.47220372797963</v>
      </c>
      <c r="I10" s="136">
        <f t="shared" si="1"/>
        <v>23236.909999999974</v>
      </c>
      <c r="J10" s="136">
        <f t="shared" si="2"/>
        <v>109.6655338796223</v>
      </c>
      <c r="K10" s="138">
        <f>F10-310040.1/75*60</f>
        <v>15614.830000000016</v>
      </c>
      <c r="L10" s="138">
        <f>F10/(310040.1/75*60)*100</f>
        <v>106.29548806751129</v>
      </c>
      <c r="M10" s="137">
        <f>E10-жовтень!E10</f>
        <v>16400</v>
      </c>
      <c r="N10" s="137">
        <f>F10-жовтень!F10</f>
        <v>1011.6299999999464</v>
      </c>
      <c r="O10" s="138">
        <f t="shared" si="3"/>
        <v>-15388.370000000054</v>
      </c>
      <c r="P10" s="136">
        <f t="shared" si="5"/>
        <v>6.168475609755771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15809.05</v>
      </c>
      <c r="G11" s="135">
        <f t="shared" si="0"/>
        <v>-5160.850000000002</v>
      </c>
      <c r="H11" s="137">
        <f t="shared" si="4"/>
        <v>75.38924839889555</v>
      </c>
      <c r="I11" s="136">
        <f t="shared" si="1"/>
        <v>-7890.950000000001</v>
      </c>
      <c r="J11" s="136">
        <f t="shared" si="2"/>
        <v>66.7048523206751</v>
      </c>
      <c r="K11" s="138">
        <f>F11-24192.03/75*60</f>
        <v>-3544.573999999997</v>
      </c>
      <c r="L11" s="138">
        <f>F11/(24192.03/75*60)*100</f>
        <v>81.68521823096285</v>
      </c>
      <c r="M11" s="137">
        <f>E11-жовтень!E11</f>
        <v>2052</v>
      </c>
      <c r="N11" s="137">
        <f>F11-жовтень!F11</f>
        <v>0.00999999999839929</v>
      </c>
      <c r="O11" s="138">
        <f t="shared" si="3"/>
        <v>-2051.9900000000016</v>
      </c>
      <c r="P11" s="136">
        <f t="shared" si="5"/>
        <v>0.00048732943461984846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4199.79</v>
      </c>
      <c r="G12" s="135">
        <f t="shared" si="0"/>
        <v>-669.21</v>
      </c>
      <c r="H12" s="137">
        <f t="shared" si="4"/>
        <v>86.25569932224276</v>
      </c>
      <c r="I12" s="136">
        <f t="shared" si="1"/>
        <v>-1600.21</v>
      </c>
      <c r="J12" s="136">
        <f t="shared" si="2"/>
        <v>72.4101724137931</v>
      </c>
      <c r="K12" s="138">
        <f>F12-6123.95/75*60</f>
        <v>-699.3699999999999</v>
      </c>
      <c r="L12" s="138">
        <f>F12/(6123.95*60)*100</f>
        <v>1.1429959421615132</v>
      </c>
      <c r="M12" s="137">
        <f>E12-жовтень!E12</f>
        <v>420</v>
      </c>
      <c r="N12" s="137">
        <f>F12-жовтень!F12</f>
        <v>30.649999999999636</v>
      </c>
      <c r="O12" s="138">
        <f t="shared" si="3"/>
        <v>-389.35000000000036</v>
      </c>
      <c r="P12" s="136">
        <f t="shared" si="5"/>
        <v>7.297619047618961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6155.92</v>
      </c>
      <c r="G13" s="135">
        <f t="shared" si="0"/>
        <v>-1627.4799999999996</v>
      </c>
      <c r="H13" s="137">
        <f t="shared" si="4"/>
        <v>79.09037181694376</v>
      </c>
      <c r="I13" s="136">
        <f t="shared" si="1"/>
        <v>-2244.08</v>
      </c>
      <c r="J13" s="136">
        <f t="shared" si="2"/>
        <v>73.28476190476191</v>
      </c>
      <c r="K13" s="138">
        <f>F13-8694.58/75*60</f>
        <v>-799.7439999999997</v>
      </c>
      <c r="L13" s="138">
        <f>F13/(8694.58/75*60)*100</f>
        <v>88.50226232894516</v>
      </c>
      <c r="M13" s="137">
        <f>E13-жовтень!E13</f>
        <v>840</v>
      </c>
      <c r="N13" s="137">
        <f>F13-жовтень!F13</f>
        <v>57.05000000000018</v>
      </c>
      <c r="O13" s="138">
        <f t="shared" si="3"/>
        <v>-782.9499999999998</v>
      </c>
      <c r="P13" s="136">
        <f t="shared" si="5"/>
        <v>6.791666666666689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7780.16</v>
      </c>
      <c r="G14" s="135">
        <f t="shared" si="0"/>
        <v>3796.16</v>
      </c>
      <c r="H14" s="137">
        <f t="shared" si="4"/>
        <v>195.28514056224898</v>
      </c>
      <c r="I14" s="136">
        <f t="shared" si="1"/>
        <v>3400.16</v>
      </c>
      <c r="J14" s="136">
        <f t="shared" si="2"/>
        <v>177.62922374429223</v>
      </c>
      <c r="K14" s="138">
        <f>F14-146.72/75*60</f>
        <v>7662.784</v>
      </c>
      <c r="L14" s="138">
        <f>F14/(146.72/75*60)*100</f>
        <v>6628.4078516902955</v>
      </c>
      <c r="M14" s="137">
        <f>E14-жовтень!E14</f>
        <v>390</v>
      </c>
      <c r="N14" s="137">
        <f>F14-жовтень!F14</f>
        <v>217.1899999999996</v>
      </c>
      <c r="O14" s="138">
        <f t="shared" si="3"/>
        <v>-172.8100000000004</v>
      </c>
      <c r="P14" s="136">
        <f t="shared" si="5"/>
        <v>55.68974358974349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-552.29</v>
      </c>
      <c r="G15" s="43">
        <f t="shared" si="0"/>
        <v>-723.6899999999999</v>
      </c>
      <c r="H15" s="35"/>
      <c r="I15" s="50">
        <f t="shared" si="1"/>
        <v>-552.29</v>
      </c>
      <c r="J15" s="50" t="e">
        <f>F15/D15*100</f>
        <v>#DIV/0!</v>
      </c>
      <c r="K15" s="53">
        <f>F15-(-1352.56)</f>
        <v>800.27</v>
      </c>
      <c r="L15" s="53">
        <f>F15/(-1352.56)*100</f>
        <v>40.832939019341104</v>
      </c>
      <c r="M15" s="35">
        <f>E15-жовтень!E15</f>
        <v>0</v>
      </c>
      <c r="N15" s="35">
        <f>F15-жовтень!F15</f>
        <v>38.58000000000004</v>
      </c>
      <c r="O15" s="47">
        <f t="shared" si="3"/>
        <v>38.58000000000004</v>
      </c>
      <c r="P15" s="50"/>
      <c r="Q15" s="50">
        <f>N15-358.81</f>
        <v>-320.22999999999996</v>
      </c>
      <c r="R15" s="126">
        <f>N15/358.81</f>
        <v>0.10752208689835857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58498.34</v>
      </c>
      <c r="G19" s="43">
        <f t="shared" si="0"/>
        <v>-3164.4100000000035</v>
      </c>
      <c r="H19" s="35">
        <f t="shared" si="4"/>
        <v>94.86819838557314</v>
      </c>
      <c r="I19" s="50">
        <f t="shared" si="1"/>
        <v>-3711.6600000000035</v>
      </c>
      <c r="J19" s="178">
        <f>F19/D19*100</f>
        <v>94.03366018325028</v>
      </c>
      <c r="K19" s="179">
        <f>F19-0</f>
        <v>58498.34</v>
      </c>
      <c r="L19" s="180"/>
      <c r="M19" s="35">
        <f>E19-жовтень!E19</f>
        <v>4140</v>
      </c>
      <c r="N19" s="35">
        <f>F19-жовтень!F19</f>
        <v>13.289999999993597</v>
      </c>
      <c r="O19" s="47">
        <f t="shared" si="3"/>
        <v>-4126.710000000006</v>
      </c>
      <c r="P19" s="50">
        <f t="shared" si="5"/>
        <v>0.3210144927534685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184652.32</v>
      </c>
      <c r="G20" s="43">
        <f t="shared" si="0"/>
        <v>3328.820000000007</v>
      </c>
      <c r="H20" s="35">
        <f t="shared" si="4"/>
        <v>101.83584587767167</v>
      </c>
      <c r="I20" s="50">
        <f t="shared" si="1"/>
        <v>-5217.679999999993</v>
      </c>
      <c r="J20" s="178">
        <f aca="true" t="shared" si="6" ref="J20:J46">F20/D20*100</f>
        <v>97.25197240216991</v>
      </c>
      <c r="K20" s="178">
        <f>K21+K25+K26+K27</f>
        <v>24044.170000000006</v>
      </c>
      <c r="L20" s="136"/>
      <c r="M20" s="35">
        <f>E20-жовтень!E20</f>
        <v>11129.600000000006</v>
      </c>
      <c r="N20" s="35">
        <f>F20-жовтень!F20</f>
        <v>1837.2900000000373</v>
      </c>
      <c r="O20" s="47">
        <f t="shared" si="3"/>
        <v>-9292.309999999969</v>
      </c>
      <c r="P20" s="50">
        <f t="shared" si="5"/>
        <v>16.508140454284398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101022.8</v>
      </c>
      <c r="G21" s="43">
        <f t="shared" si="0"/>
        <v>-3492.199999999997</v>
      </c>
      <c r="H21" s="35">
        <f t="shared" si="4"/>
        <v>96.65866143615749</v>
      </c>
      <c r="I21" s="50">
        <f t="shared" si="1"/>
        <v>-9277.199999999997</v>
      </c>
      <c r="J21" s="178">
        <f t="shared" si="6"/>
        <v>91.58912058023573</v>
      </c>
      <c r="K21" s="178">
        <f>K22+K23+K24</f>
        <v>25570.060000000005</v>
      </c>
      <c r="L21" s="136"/>
      <c r="M21" s="35">
        <f>E21-жовтень!E21</f>
        <v>8232.600000000006</v>
      </c>
      <c r="N21" s="35">
        <f>F21-жовтень!F21</f>
        <v>248.0100000000093</v>
      </c>
      <c r="O21" s="47">
        <f t="shared" si="3"/>
        <v>-7984.5899999999965</v>
      </c>
      <c r="P21" s="50">
        <f t="shared" si="5"/>
        <v>3.0125355294804694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12511.52</v>
      </c>
      <c r="G22" s="135">
        <f t="shared" si="0"/>
        <v>1811.5200000000004</v>
      </c>
      <c r="H22" s="137">
        <f t="shared" si="4"/>
        <v>116.93009345794394</v>
      </c>
      <c r="I22" s="136">
        <f t="shared" si="1"/>
        <v>1811.5200000000004</v>
      </c>
      <c r="J22" s="136">
        <f t="shared" si="6"/>
        <v>116.93009345794394</v>
      </c>
      <c r="K22" s="136">
        <f>F22-454.97</f>
        <v>12056.550000000001</v>
      </c>
      <c r="L22" s="136">
        <f>F22/454.97*100</f>
        <v>2749.9659318196805</v>
      </c>
      <c r="M22" s="137">
        <f>E22-жовтень!E22</f>
        <v>54.600000000000364</v>
      </c>
      <c r="N22" s="137">
        <f>F22-жовтень!F22</f>
        <v>25.390000000001237</v>
      </c>
      <c r="O22" s="138">
        <f t="shared" si="3"/>
        <v>-29.209999999999127</v>
      </c>
      <c r="P22" s="136">
        <f t="shared" si="5"/>
        <v>46.50183150183346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3543.96</v>
      </c>
      <c r="G23" s="135">
        <f t="shared" si="0"/>
        <v>1443.96</v>
      </c>
      <c r="H23" s="137">
        <f t="shared" si="4"/>
        <v>168.76</v>
      </c>
      <c r="I23" s="136">
        <f t="shared" si="1"/>
        <v>1443.96</v>
      </c>
      <c r="J23" s="136">
        <f t="shared" si="6"/>
        <v>168.76</v>
      </c>
      <c r="K23" s="136">
        <f>F23-0</f>
        <v>3543.96</v>
      </c>
      <c r="L23" s="136"/>
      <c r="M23" s="137">
        <f>E23-жовтень!E23</f>
        <v>8</v>
      </c>
      <c r="N23" s="137">
        <f>F23-жовтень!F23</f>
        <v>50</v>
      </c>
      <c r="O23" s="138">
        <f t="shared" si="3"/>
        <v>42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84967.32</v>
      </c>
      <c r="G24" s="135">
        <f t="shared" si="0"/>
        <v>-6747.679999999993</v>
      </c>
      <c r="H24" s="137">
        <f t="shared" si="4"/>
        <v>92.64277381017283</v>
      </c>
      <c r="I24" s="136">
        <f t="shared" si="1"/>
        <v>-12532.679999999993</v>
      </c>
      <c r="J24" s="136">
        <f t="shared" si="6"/>
        <v>87.14596923076924</v>
      </c>
      <c r="K24" s="224">
        <f>F24-74997.77</f>
        <v>9969.550000000003</v>
      </c>
      <c r="L24" s="224">
        <f>F24/74997.77*100</f>
        <v>113.29312858235652</v>
      </c>
      <c r="M24" s="137">
        <f>E24-жовтень!E24</f>
        <v>8170</v>
      </c>
      <c r="N24" s="137">
        <f>F24-жовтень!F24</f>
        <v>172.6200000000099</v>
      </c>
      <c r="O24" s="138">
        <f t="shared" si="3"/>
        <v>-7997.37999999999</v>
      </c>
      <c r="P24" s="136">
        <f t="shared" si="5"/>
        <v>2.1128518971849437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60.64</v>
      </c>
      <c r="G25" s="43">
        <f t="shared" si="0"/>
        <v>-2.8599999999999994</v>
      </c>
      <c r="H25" s="35">
        <f t="shared" si="4"/>
        <v>95.49606299212599</v>
      </c>
      <c r="I25" s="50">
        <f t="shared" si="1"/>
        <v>-9.36</v>
      </c>
      <c r="J25" s="178">
        <f t="shared" si="6"/>
        <v>86.62857142857143</v>
      </c>
      <c r="K25" s="178">
        <f>F25-65.36</f>
        <v>-4.719999999999999</v>
      </c>
      <c r="L25" s="178">
        <f>F25/65.36*100</f>
        <v>92.77845777233782</v>
      </c>
      <c r="M25" s="35">
        <f>E25-жовтень!E25</f>
        <v>12</v>
      </c>
      <c r="N25" s="35">
        <f>F25-жовтень!F25</f>
        <v>0</v>
      </c>
      <c r="O25" s="47">
        <f t="shared" si="3"/>
        <v>-12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F26-5772.25</f>
        <v>-6513.1900000000005</v>
      </c>
      <c r="L26" s="178">
        <f>F26/5772.25*100</f>
        <v>-12.836242366494869</v>
      </c>
      <c r="M26" s="35">
        <f>E26-жовтень!E26</f>
        <v>0</v>
      </c>
      <c r="N26" s="35">
        <f>F26-жовтень!F26</f>
        <v>0</v>
      </c>
      <c r="O26" s="47">
        <f t="shared" si="3"/>
        <v>0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84309.82</v>
      </c>
      <c r="G27" s="43">
        <f t="shared" si="0"/>
        <v>7564.820000000007</v>
      </c>
      <c r="H27" s="35">
        <f t="shared" si="4"/>
        <v>109.85708515212718</v>
      </c>
      <c r="I27" s="50">
        <f t="shared" si="1"/>
        <v>4809.820000000007</v>
      </c>
      <c r="J27" s="178">
        <f t="shared" si="6"/>
        <v>106.05008805031449</v>
      </c>
      <c r="K27" s="132">
        <f>F27-79317.8</f>
        <v>4992.020000000004</v>
      </c>
      <c r="L27" s="132">
        <f>F27/79317.8*100</f>
        <v>106.29369447967542</v>
      </c>
      <c r="M27" s="35">
        <f>E27-жовтень!E27</f>
        <v>2885</v>
      </c>
      <c r="N27" s="35">
        <f>F27-жовтень!F27</f>
        <v>1589.2800000000134</v>
      </c>
      <c r="O27" s="47">
        <f t="shared" si="3"/>
        <v>-1295.7199999999866</v>
      </c>
      <c r="P27" s="50">
        <f t="shared" si="5"/>
        <v>55.08769497400393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20274.78</v>
      </c>
      <c r="G29" s="135">
        <f t="shared" si="0"/>
        <v>1464.7799999999988</v>
      </c>
      <c r="H29" s="137">
        <f t="shared" si="4"/>
        <v>107.78724082934608</v>
      </c>
      <c r="I29" s="136">
        <f t="shared" si="1"/>
        <v>1074.7799999999988</v>
      </c>
      <c r="J29" s="136">
        <f t="shared" si="6"/>
        <v>105.5978125</v>
      </c>
      <c r="K29" s="139">
        <f>F29-22211.27</f>
        <v>-1936.4900000000016</v>
      </c>
      <c r="L29" s="139">
        <f>F29/22211.27*100</f>
        <v>91.28149808633185</v>
      </c>
      <c r="M29" s="137">
        <f>E29-жовтень!E29</f>
        <v>730</v>
      </c>
      <c r="N29" s="137">
        <f>F29-жовтень!F29</f>
        <v>311.4499999999971</v>
      </c>
      <c r="O29" s="138">
        <f t="shared" si="3"/>
        <v>-418.5500000000029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64007.33</v>
      </c>
      <c r="G30" s="135">
        <f t="shared" si="0"/>
        <v>6072.330000000002</v>
      </c>
      <c r="H30" s="137">
        <f t="shared" si="4"/>
        <v>110.48128074566326</v>
      </c>
      <c r="I30" s="136">
        <f t="shared" si="1"/>
        <v>3707.3300000000017</v>
      </c>
      <c r="J30" s="136">
        <f t="shared" si="6"/>
        <v>106.14814262023218</v>
      </c>
      <c r="K30" s="139">
        <f>F30-57105.32</f>
        <v>6902.010000000002</v>
      </c>
      <c r="L30" s="139">
        <f>F30/57105.32*100</f>
        <v>112.08645709366482</v>
      </c>
      <c r="M30" s="137">
        <f>E30-жовтень!E30</f>
        <v>2155</v>
      </c>
      <c r="N30" s="137">
        <f>F30-жовтень!F30</f>
        <v>1277.8400000000038</v>
      </c>
      <c r="O30" s="138">
        <f t="shared" si="3"/>
        <v>-877.1599999999962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5587.48</v>
      </c>
      <c r="G32" s="43">
        <f t="shared" si="0"/>
        <v>-1912.3200000000006</v>
      </c>
      <c r="H32" s="35">
        <f t="shared" si="4"/>
        <v>74.50172004586788</v>
      </c>
      <c r="I32" s="50">
        <f t="shared" si="1"/>
        <v>-1912.5200000000004</v>
      </c>
      <c r="J32" s="178">
        <f t="shared" si="6"/>
        <v>74.49973333333332</v>
      </c>
      <c r="K32" s="178">
        <f>F32-7378.96</f>
        <v>-1791.4800000000005</v>
      </c>
      <c r="L32" s="178">
        <f>F32/7378.96*100</f>
        <v>75.72178193132906</v>
      </c>
      <c r="M32" s="35">
        <f>E32-жовтень!E32</f>
        <v>1740.5</v>
      </c>
      <c r="N32" s="35">
        <f>F32-жовтень!F32</f>
        <v>1.7299999999995634</v>
      </c>
      <c r="O32" s="47">
        <f t="shared" si="3"/>
        <v>-1738.7700000000004</v>
      </c>
      <c r="P32" s="50">
        <f t="shared" si="5"/>
        <v>0.09939672507897522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</f>
        <v>39658.43</v>
      </c>
      <c r="G33" s="44">
        <f t="shared" si="0"/>
        <v>5413.860000000001</v>
      </c>
      <c r="H33" s="45">
        <f t="shared" si="4"/>
        <v>115.80939693504692</v>
      </c>
      <c r="I33" s="31">
        <f t="shared" si="1"/>
        <v>4018.8600000000006</v>
      </c>
      <c r="J33" s="31">
        <f t="shared" si="6"/>
        <v>111.27639867708842</v>
      </c>
      <c r="K33" s="18">
        <f>K34+K35+K36+K37+K38+K41+K42+K47+K48+K52+K40</f>
        <v>27758.770000000004</v>
      </c>
      <c r="L33" s="18"/>
      <c r="M33" s="18">
        <f>M34+M35+M36+M37+M38+M41+M42+M47+M48+M52+M40+M39</f>
        <v>1694.3000000000002</v>
      </c>
      <c r="N33" s="18">
        <f>N34+N35+N36+N37+N38+N41+N42+N47+N48+N52+N40+N39</f>
        <v>4576.749999999998</v>
      </c>
      <c r="O33" s="49">
        <f t="shared" si="3"/>
        <v>2882.449999999998</v>
      </c>
      <c r="P33" s="31">
        <f>N33/M33*100</f>
        <v>270.126305849023</v>
      </c>
      <c r="Q33" s="31">
        <f>N33-1017.63</f>
        <v>3559.119999999998</v>
      </c>
      <c r="R33" s="127">
        <f>N33/1017.63</f>
        <v>4.497459784007939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4"/>
        <v>-57.79</v>
      </c>
      <c r="I34" s="50">
        <f t="shared" si="1"/>
        <v>-157.79</v>
      </c>
      <c r="J34" s="50">
        <f t="shared" si="6"/>
        <v>-57.79</v>
      </c>
      <c r="K34" s="50">
        <f>F34-153.52</f>
        <v>-211.31</v>
      </c>
      <c r="L34" s="50">
        <f>F34/153.52*100</f>
        <v>-37.643303804064615</v>
      </c>
      <c r="M34" s="35">
        <f>E34-жовтень!E34</f>
        <v>0</v>
      </c>
      <c r="N34" s="35">
        <f>F34-жовтень!F34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7882.47</v>
      </c>
      <c r="F35" s="143">
        <v>12874.31</v>
      </c>
      <c r="G35" s="43">
        <f t="shared" si="0"/>
        <v>4991.839999999999</v>
      </c>
      <c r="H35" s="35">
        <f t="shared" si="4"/>
        <v>163.32837295923738</v>
      </c>
      <c r="I35" s="50">
        <f t="shared" si="1"/>
        <v>4941.839999999999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250</v>
      </c>
      <c r="N35" s="35">
        <f>F35-жовтень!F35</f>
        <v>4439.379999999999</v>
      </c>
      <c r="O35" s="47">
        <f t="shared" si="3"/>
        <v>4189.379999999999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350.77</v>
      </c>
      <c r="G36" s="43">
        <f t="shared" si="0"/>
        <v>110.76999999999998</v>
      </c>
      <c r="H36" s="35">
        <f t="shared" si="4"/>
        <v>146.15416666666664</v>
      </c>
      <c r="I36" s="50">
        <f t="shared" si="1"/>
        <v>110.76999999999998</v>
      </c>
      <c r="J36" s="50"/>
      <c r="K36" s="50">
        <f>F36-242.79</f>
        <v>107.97999999999999</v>
      </c>
      <c r="L36" s="50">
        <f>F36/242.79*100</f>
        <v>144.47464887351208</v>
      </c>
      <c r="M36" s="35">
        <f>E36-жовтень!E36</f>
        <v>0</v>
      </c>
      <c r="N36" s="35">
        <f>F36-жовтень!F36</f>
        <v>0.9599999999999795</v>
      </c>
      <c r="O36" s="47">
        <f t="shared" si="3"/>
        <v>0.9599999999999795</v>
      </c>
      <c r="P36" s="50"/>
      <c r="Q36" s="50">
        <f>N36-4.23</f>
        <v>-3.270000000000021</v>
      </c>
      <c r="R36" s="126">
        <f>N36/4.23</f>
        <v>0.22695035460992422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5.5</v>
      </c>
      <c r="F37" s="143">
        <v>0</v>
      </c>
      <c r="G37" s="43">
        <f t="shared" si="0"/>
        <v>-5.5</v>
      </c>
      <c r="H37" s="35">
        <f t="shared" si="4"/>
        <v>0</v>
      </c>
      <c r="I37" s="50">
        <f t="shared" si="1"/>
        <v>-6.5</v>
      </c>
      <c r="J37" s="50">
        <f t="shared" si="6"/>
        <v>0</v>
      </c>
      <c r="K37" s="50">
        <f>F37-5.94</f>
        <v>-5.94</v>
      </c>
      <c r="L37" s="50">
        <f>F37/5.94*100</f>
        <v>0</v>
      </c>
      <c r="M37" s="35">
        <f>E37-жовтень!E37</f>
        <v>1</v>
      </c>
      <c r="N37" s="35">
        <f>F37-жовтень!F37</f>
        <v>0</v>
      </c>
      <c r="O37" s="47">
        <f t="shared" si="3"/>
        <v>-1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255.87</v>
      </c>
      <c r="G38" s="43">
        <f t="shared" si="0"/>
        <v>125.87</v>
      </c>
      <c r="H38" s="35">
        <f t="shared" si="4"/>
        <v>196.8230769230769</v>
      </c>
      <c r="I38" s="50">
        <f t="shared" si="1"/>
        <v>115.87</v>
      </c>
      <c r="J38" s="50">
        <f t="shared" si="6"/>
        <v>182.7642857142857</v>
      </c>
      <c r="K38" s="50">
        <f>F38-121.56</f>
        <v>134.31</v>
      </c>
      <c r="L38" s="50">
        <f>F38/121.56*100</f>
        <v>210.48864758144128</v>
      </c>
      <c r="M38" s="35">
        <f>E38-жовтень!E38</f>
        <v>10</v>
      </c>
      <c r="N38" s="35">
        <f>F38-жовтень!F38</f>
        <v>0</v>
      </c>
      <c r="O38" s="47">
        <f t="shared" si="3"/>
        <v>-10</v>
      </c>
      <c r="P38" s="50">
        <f>N38/M38*100</f>
        <v>0</v>
      </c>
      <c r="Q38" s="50">
        <f>N38-9.02</f>
        <v>-9.02</v>
      </c>
      <c r="R38" s="126">
        <f>N38/9.02</f>
        <v>0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8451.47</v>
      </c>
      <c r="G40" s="43">
        <f t="shared" si="0"/>
        <v>-448.53000000000065</v>
      </c>
      <c r="H40" s="35">
        <f aca="true" t="shared" si="7" ref="H40:H46">F40/E40*100</f>
        <v>94.96033707865168</v>
      </c>
      <c r="I40" s="50">
        <f t="shared" si="1"/>
        <v>-548.5300000000007</v>
      </c>
      <c r="J40" s="50"/>
      <c r="K40" s="50">
        <f>F40-0</f>
        <v>8451.47</v>
      </c>
      <c r="L40" s="50"/>
      <c r="M40" s="35">
        <f>E40-жовтень!E40</f>
        <v>63</v>
      </c>
      <c r="N40" s="35">
        <f>F40-жовтень!F40</f>
        <v>67.76999999999862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7492.85</v>
      </c>
      <c r="G41" s="43">
        <f t="shared" si="0"/>
        <v>1142.8500000000004</v>
      </c>
      <c r="H41" s="35">
        <f t="shared" si="7"/>
        <v>117.9976377952756</v>
      </c>
      <c r="I41" s="50">
        <f t="shared" si="1"/>
        <v>592.8500000000004</v>
      </c>
      <c r="J41" s="50">
        <f t="shared" si="6"/>
        <v>108.59202898550726</v>
      </c>
      <c r="K41" s="50">
        <f>F41-6573.91</f>
        <v>918.9400000000005</v>
      </c>
      <c r="L41" s="50">
        <f>F41/6573.91*100</f>
        <v>113.97859112765462</v>
      </c>
      <c r="M41" s="35">
        <f>E41-жовтень!E41</f>
        <v>580</v>
      </c>
      <c r="N41" s="35">
        <f>F41-жовтень!F41</f>
        <v>0.030000000000654836</v>
      </c>
      <c r="O41" s="47">
        <f t="shared" si="3"/>
        <v>-579.9699999999993</v>
      </c>
      <c r="P41" s="50">
        <f>N41/M41*100</f>
        <v>0.005172413793216351</v>
      </c>
      <c r="Q41" s="50">
        <f>N41-647.49</f>
        <v>-647.4599999999994</v>
      </c>
      <c r="R41" s="126">
        <f>N41/647.49</f>
        <v>4.633276189694796E-05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6227.37</v>
      </c>
      <c r="G42" s="43">
        <f t="shared" si="0"/>
        <v>-584.2300000000005</v>
      </c>
      <c r="H42" s="35">
        <f t="shared" si="7"/>
        <v>91.42301368254154</v>
      </c>
      <c r="I42" s="50">
        <f t="shared" si="1"/>
        <v>-872.6300000000001</v>
      </c>
      <c r="J42" s="50">
        <f t="shared" si="6"/>
        <v>87.7094366197183</v>
      </c>
      <c r="K42" s="50">
        <f>F42-975.44</f>
        <v>5251.93</v>
      </c>
      <c r="L42" s="50">
        <f>F42/975.44*100</f>
        <v>638.4165094726482</v>
      </c>
      <c r="M42" s="35">
        <f>E42-жовтень!E42</f>
        <v>420.3000000000002</v>
      </c>
      <c r="N42" s="35">
        <f>F42-жовтень!F42</f>
        <v>39.81999999999971</v>
      </c>
      <c r="O42" s="47">
        <f t="shared" si="3"/>
        <v>-380.4800000000005</v>
      </c>
      <c r="P42" s="50">
        <f>N42/M42*100</f>
        <v>9.474185105876682</v>
      </c>
      <c r="Q42" s="50">
        <f>N42-79.51</f>
        <v>-39.690000000000296</v>
      </c>
      <c r="R42" s="126">
        <f>N42/79.51</f>
        <v>0.5008175072317911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890.54</v>
      </c>
      <c r="G43" s="135">
        <f t="shared" si="0"/>
        <v>-119.46000000000004</v>
      </c>
      <c r="H43" s="35">
        <f t="shared" si="7"/>
        <v>88.17227722772277</v>
      </c>
      <c r="I43" s="136">
        <f t="shared" si="1"/>
        <v>-209.46000000000004</v>
      </c>
      <c r="J43" s="136">
        <f t="shared" si="6"/>
        <v>80.95818181818181</v>
      </c>
      <c r="K43" s="136">
        <f>F43-857.86</f>
        <v>32.67999999999995</v>
      </c>
      <c r="L43" s="136">
        <f>F43/857.86*100</f>
        <v>103.80947940223346</v>
      </c>
      <c r="M43" s="137">
        <f>E43-жовтень!E43</f>
        <v>100</v>
      </c>
      <c r="N43" s="137">
        <f>F43-жовтень!F43</f>
        <v>6.769999999999982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5291.97</v>
      </c>
      <c r="G46" s="135">
        <f t="shared" si="0"/>
        <v>-428.02999999999975</v>
      </c>
      <c r="H46" s="35">
        <f t="shared" si="7"/>
        <v>92.51695804195805</v>
      </c>
      <c r="I46" s="136">
        <f t="shared" si="1"/>
        <v>-626.0299999999997</v>
      </c>
      <c r="J46" s="136">
        <f t="shared" si="6"/>
        <v>89.42159513349105</v>
      </c>
      <c r="K46" s="136">
        <f>F46-117.58</f>
        <v>5174.39</v>
      </c>
      <c r="L46" s="136">
        <f>F46/117.58*100</f>
        <v>4500.739921755401</v>
      </c>
      <c r="M46" s="137">
        <f>E46-жовтень!E46</f>
        <v>310</v>
      </c>
      <c r="N46" s="137">
        <f>F46-жовтень!F46</f>
        <v>33.05000000000018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4039.64</v>
      </c>
      <c r="G48" s="43">
        <f t="shared" si="0"/>
        <v>219.63999999999987</v>
      </c>
      <c r="H48" s="35">
        <f>F48/E48*100</f>
        <v>105.74973821989528</v>
      </c>
      <c r="I48" s="50">
        <f t="shared" si="1"/>
        <v>-160.36000000000013</v>
      </c>
      <c r="J48" s="50">
        <f>F48/D48*100</f>
        <v>96.18190476190476</v>
      </c>
      <c r="K48" s="50">
        <f>F48-3812.69</f>
        <v>226.94999999999982</v>
      </c>
      <c r="L48" s="50">
        <f>F48/3812.69*100</f>
        <v>105.95249023655214</v>
      </c>
      <c r="M48" s="35">
        <f>E48-жовтень!E48</f>
        <v>370</v>
      </c>
      <c r="N48" s="35">
        <f>F48-жовтень!F48</f>
        <v>28.789999999999964</v>
      </c>
      <c r="O48" s="47">
        <f t="shared" si="3"/>
        <v>-341.21000000000004</v>
      </c>
      <c r="P48" s="50">
        <f aca="true" t="shared" si="8" ref="P48:P53">N48/M48*100</f>
        <v>7.781081081081072</v>
      </c>
      <c r="Q48" s="50">
        <f>N48-277.38</f>
        <v>-248.59000000000003</v>
      </c>
      <c r="R48" s="126">
        <f>N48/277.38</f>
        <v>0.10379263104766012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E49-жовтень!E49</f>
        <v>0</v>
      </c>
      <c r="N49" s="35">
        <f>F49-жовтень!F49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E50-жовтень!E50</f>
        <v>0</v>
      </c>
      <c r="N50" s="35">
        <f>F50-жовтень!F50</f>
        <v>0</v>
      </c>
      <c r="O50" s="47">
        <f t="shared" si="3"/>
        <v>0</v>
      </c>
      <c r="P50" s="50" t="e">
        <f t="shared" si="8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1047.4</v>
      </c>
      <c r="G51" s="135">
        <f t="shared" si="0"/>
        <v>1047.4</v>
      </c>
      <c r="H51" s="137"/>
      <c r="I51" s="136">
        <f t="shared" si="1"/>
        <v>1047.4</v>
      </c>
      <c r="J51" s="136"/>
      <c r="K51" s="138">
        <f>F51-926.78</f>
        <v>120.62000000000012</v>
      </c>
      <c r="L51" s="138">
        <f>F51/926.78*100</f>
        <v>113.01495500550294</v>
      </c>
      <c r="M51" s="137">
        <f>E51-жовтень!E51</f>
        <v>0</v>
      </c>
      <c r="N51" s="137">
        <f>F51-жовтень!F51</f>
        <v>3.1000000000001364</v>
      </c>
      <c r="O51" s="138">
        <f t="shared" si="3"/>
        <v>3.1000000000001364</v>
      </c>
      <c r="P51" s="136"/>
      <c r="Q51" s="50">
        <f>N51-64.93</f>
        <v>-61.82999999999987</v>
      </c>
      <c r="R51" s="126">
        <f>N51/64.93</f>
        <v>0.047743724010474914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E54-жовтень!E54</f>
        <v>0</v>
      </c>
      <c r="N54" s="35">
        <f>F54-жовтень!F54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585564.8900000002</v>
      </c>
      <c r="G55" s="44">
        <f>F55-E55</f>
        <v>10652.950000000186</v>
      </c>
      <c r="H55" s="45">
        <f>F55/E55*100</f>
        <v>101.85297073496162</v>
      </c>
      <c r="I55" s="31">
        <f>F55-D55</f>
        <v>-22390.179999999702</v>
      </c>
      <c r="J55" s="31">
        <f>F55/D55*100</f>
        <v>96.31713244861999</v>
      </c>
      <c r="K55" s="31">
        <f>K8+K33+K53+K54</f>
        <v>127617.05600000007</v>
      </c>
      <c r="L55" s="31">
        <f>F55/(F55-K55)*100</f>
        <v>127.86716008356534</v>
      </c>
      <c r="M55" s="18">
        <f>M8+M33+M53+M54</f>
        <v>38814.600000000006</v>
      </c>
      <c r="N55" s="18">
        <f>N8+N33+N53+N54</f>
        <v>7875.750000000038</v>
      </c>
      <c r="O55" s="49">
        <f>N55-M55</f>
        <v>-30938.84999999997</v>
      </c>
      <c r="P55" s="31">
        <f>N55/M55*100</f>
        <v>20.290689585877576</v>
      </c>
      <c r="Q55" s="31">
        <f>N55-34768</f>
        <v>-26892.249999999964</v>
      </c>
      <c r="R55" s="171">
        <f>N55/34768</f>
        <v>0.22652295213989987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593.13</v>
      </c>
      <c r="G64" s="43">
        <f t="shared" si="9"/>
        <v>-1906.87</v>
      </c>
      <c r="H64" s="35"/>
      <c r="I64" s="53">
        <f t="shared" si="10"/>
        <v>-1906.87</v>
      </c>
      <c r="J64" s="53">
        <f t="shared" si="12"/>
        <v>23.725199999999997</v>
      </c>
      <c r="K64" s="53">
        <f>F64-1921.61</f>
        <v>-1328.48</v>
      </c>
      <c r="L64" s="53">
        <f>F64/1921.61*100</f>
        <v>30.86630481731465</v>
      </c>
      <c r="M64" s="35">
        <f>E64-жовтень!E64</f>
        <v>900</v>
      </c>
      <c r="N64" s="35">
        <f>F64-жовтень!F64</f>
        <v>0</v>
      </c>
      <c r="O64" s="47">
        <f t="shared" si="11"/>
        <v>-900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7212.08</v>
      </c>
      <c r="G65" s="43">
        <f t="shared" si="9"/>
        <v>-548.6499999999996</v>
      </c>
      <c r="H65" s="35">
        <f>F65/E65*100</f>
        <v>92.93043309070153</v>
      </c>
      <c r="I65" s="53">
        <f t="shared" si="10"/>
        <v>-4363.92</v>
      </c>
      <c r="J65" s="53">
        <f t="shared" si="12"/>
        <v>62.302004146510015</v>
      </c>
      <c r="K65" s="53">
        <f>F65-3828.89</f>
        <v>3383.19</v>
      </c>
      <c r="L65" s="53">
        <f>F65/3828.89*100</f>
        <v>188.35955067917857</v>
      </c>
      <c r="M65" s="35">
        <f>E65-жовтень!E65</f>
        <v>1024.75</v>
      </c>
      <c r="N65" s="35">
        <f>F65-жовтень!F65</f>
        <v>0</v>
      </c>
      <c r="O65" s="47">
        <f t="shared" si="11"/>
        <v>-1024.75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2063.43</v>
      </c>
      <c r="G66" s="43">
        <f t="shared" si="9"/>
        <v>582.4299999999998</v>
      </c>
      <c r="H66" s="35">
        <f>F66/E66*100</f>
        <v>139.32680621201888</v>
      </c>
      <c r="I66" s="53">
        <f t="shared" si="10"/>
        <v>-936.5700000000002</v>
      </c>
      <c r="J66" s="53">
        <f t="shared" si="12"/>
        <v>68.78099999999999</v>
      </c>
      <c r="K66" s="53">
        <f>F66-2012.55</f>
        <v>50.87999999999988</v>
      </c>
      <c r="L66" s="53">
        <f>F66/2012.55*100</f>
        <v>102.52813594693299</v>
      </c>
      <c r="M66" s="35">
        <f>E66-жовтень!E66</f>
        <v>148.0999999999999</v>
      </c>
      <c r="N66" s="35">
        <f>F66-жовтень!F66</f>
        <v>0</v>
      </c>
      <c r="O66" s="47">
        <f t="shared" si="11"/>
        <v>-148.0999999999999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9868.64</v>
      </c>
      <c r="G67" s="55">
        <f t="shared" si="9"/>
        <v>-1873.0900000000001</v>
      </c>
      <c r="H67" s="65">
        <f>F67/E67*100</f>
        <v>84.04758072277254</v>
      </c>
      <c r="I67" s="54">
        <f t="shared" si="10"/>
        <v>-7207.360000000001</v>
      </c>
      <c r="J67" s="54">
        <f t="shared" si="12"/>
        <v>57.79245724994143</v>
      </c>
      <c r="K67" s="54">
        <f>K64+K65+K66</f>
        <v>2105.59</v>
      </c>
      <c r="L67" s="54"/>
      <c r="M67" s="55">
        <f>M64+M65+M66</f>
        <v>2072.85</v>
      </c>
      <c r="N67" s="55">
        <f>N64+N65+N66</f>
        <v>0</v>
      </c>
      <c r="O67" s="54">
        <f t="shared" si="11"/>
        <v>-2072.85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30.02</v>
      </c>
      <c r="G72" s="43">
        <f>F72-E72</f>
        <v>-4.400000000000002</v>
      </c>
      <c r="H72" s="35">
        <f>F72/E72*100</f>
        <v>87.21673445671121</v>
      </c>
      <c r="I72" s="53">
        <f>F72-D72</f>
        <v>-11.98</v>
      </c>
      <c r="J72" s="53">
        <f>F72/D72*100</f>
        <v>71.47619047619047</v>
      </c>
      <c r="K72" s="53">
        <f>F72-34.05</f>
        <v>-4.029999999999998</v>
      </c>
      <c r="L72" s="53">
        <f>F72/34.05*100</f>
        <v>88.16446402349487</v>
      </c>
      <c r="M72" s="35">
        <f>E72-жовтень!E72</f>
        <v>1</v>
      </c>
      <c r="N72" s="35">
        <f>F72-жовтень!F72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9845.6</v>
      </c>
      <c r="G74" s="44">
        <f>F74-E74</f>
        <v>-1979.5499999999993</v>
      </c>
      <c r="H74" s="45">
        <f>F74/E74*100</f>
        <v>83.2598317991738</v>
      </c>
      <c r="I74" s="31">
        <f>F74-D74</f>
        <v>-7326.4</v>
      </c>
      <c r="J74" s="31">
        <f>F74/D74*100</f>
        <v>57.33519683205218</v>
      </c>
      <c r="K74" s="31">
        <f>K62+K67+K71+K72</f>
        <v>1707.5300000000002</v>
      </c>
      <c r="L74" s="31"/>
      <c r="M74" s="27">
        <f>M62+M72+M67+M71</f>
        <v>2073.85</v>
      </c>
      <c r="N74" s="27">
        <f>N62+N72+N67+N71+N73</f>
        <v>0</v>
      </c>
      <c r="O74" s="31">
        <f>N74-M74</f>
        <v>-2073.85</v>
      </c>
      <c r="P74" s="31">
        <f>N74/M74*100</f>
        <v>0</v>
      </c>
      <c r="Q74" s="31">
        <f>N74-8104.96</f>
        <v>-8104.96</v>
      </c>
      <c r="R74" s="127">
        <f>N74/8104.96</f>
        <v>0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595410.4900000002</v>
      </c>
      <c r="G75" s="44">
        <f>F75-E75</f>
        <v>8673.40000000014</v>
      </c>
      <c r="H75" s="45">
        <f>F75/E75*100</f>
        <v>101.47824300659094</v>
      </c>
      <c r="I75" s="31">
        <f>F75-D75</f>
        <v>-29716.579999999725</v>
      </c>
      <c r="J75" s="31">
        <f>F75/D75*100</f>
        <v>95.24631368147284</v>
      </c>
      <c r="K75" s="31">
        <f>K55+K74</f>
        <v>129324.58600000007</v>
      </c>
      <c r="L75" s="31">
        <f>F75/(F75-K75)*100</f>
        <v>127.74694211734841</v>
      </c>
      <c r="M75" s="18">
        <f>M55+M74</f>
        <v>40888.450000000004</v>
      </c>
      <c r="N75" s="18">
        <f>N55+N74</f>
        <v>7875.750000000038</v>
      </c>
      <c r="O75" s="31">
        <f>N75-M75</f>
        <v>-33012.69999999997</v>
      </c>
      <c r="P75" s="31">
        <f>N75/M75*100</f>
        <v>19.261551856331156</v>
      </c>
      <c r="Q75" s="31">
        <f>N75-42872.96</f>
        <v>-34997.20999999996</v>
      </c>
      <c r="R75" s="127">
        <f>N75/42872.96</f>
        <v>0.18369970256310827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19</v>
      </c>
      <c r="D77" s="4" t="s">
        <v>118</v>
      </c>
    </row>
    <row r="78" spans="2:17" ht="31.5">
      <c r="B78" s="71" t="s">
        <v>154</v>
      </c>
      <c r="C78" s="34">
        <f>IF(O55&lt;0,ABS(O55/C77),0)</f>
        <v>1628.3605263157879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42311</v>
      </c>
      <c r="D79" s="34">
        <v>2186.24</v>
      </c>
      <c r="G79" s="4" t="s">
        <v>166</v>
      </c>
      <c r="N79" s="236"/>
      <c r="O79" s="236"/>
    </row>
    <row r="80" spans="3:15" ht="15.75">
      <c r="C80" s="111">
        <v>42310</v>
      </c>
      <c r="D80" s="34">
        <v>5689.54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42308</v>
      </c>
      <c r="D81" s="34">
        <v>6147.1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0.798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226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88" sqref="H8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314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6"/>
      <c r="O79" s="236"/>
    </row>
    <row r="80" spans="3:15" ht="15.75">
      <c r="C80" s="111">
        <v>42306</v>
      </c>
      <c r="D80" s="34">
        <v>6844.5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42305</v>
      </c>
      <c r="D81" s="34">
        <v>4690.4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257.30632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7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306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7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297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281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273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260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236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2015-11-04T08:44:09Z</cp:lastPrinted>
  <dcterms:created xsi:type="dcterms:W3CDTF">2003-07-28T11:27:56Z</dcterms:created>
  <dcterms:modified xsi:type="dcterms:W3CDTF">2015-11-04T08:54:12Z</dcterms:modified>
  <cp:category/>
  <cp:version/>
  <cp:contentType/>
  <cp:contentStatus/>
</cp:coreProperties>
</file>